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Cash Flow" sheetId="2" state="visible" r:id="rId2"/>
    <sheet xmlns:r="http://schemas.openxmlformats.org/officeDocument/2006/relationships" name="Valu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$#,##0.00"/>
    <numFmt numFmtId="166" formatCode="$#,##0.00;($#,##0.00);-"/>
    <numFmt numFmtId="167" formatCode="$#,##0;($#,##0);-"/>
    <numFmt numFmtId="168" formatCode="#,##0;(#,##0);-"/>
    <numFmt numFmtId="169" formatCode="0.000"/>
    <numFmt numFmtId="170" formatCode="0.0%;(0.0%);-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</font>
    <font>
      <name val="Arial"/>
    </font>
    <font>
      <name val="Arial"/>
      <color rgb="000000FF"/>
    </font>
    <font>
      <name val="Arial"/>
      <b val="1"/>
    </font>
    <font>
      <name val="Arial"/>
      <color rgb="00008000"/>
    </font>
    <font>
      <name val="Arial"/>
      <b val="1"/>
      <color rgb="00008000"/>
    </font>
  </fonts>
  <fills count="3">
    <fill>
      <patternFill/>
    </fill>
    <fill>
      <patternFill patternType="gray125"/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" fontId="4" fillId="0" borderId="0" pivotButton="0" quotePrefix="0" xfId="0"/>
    <xf numFmtId="167" fontId="4" fillId="2" borderId="0" pivotButton="0" quotePrefix="0" xfId="0"/>
    <xf numFmtId="0" fontId="5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167" fontId="6" fillId="0" borderId="0" pivotButton="0" quotePrefix="0" xfId="0"/>
    <xf numFmtId="167" fontId="7" fillId="0" borderId="0" pivotButton="0" quotePrefix="0" xfId="0"/>
    <xf numFmtId="17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Model</author>
  </authors>
  <commentList>
    <comment ref="B14" authorId="0" shapeId="0">
      <text>
        <t>Replace with CalGEM / operator well-level estimate. Source must be cited.</t>
      </text>
    </comment>
    <comment ref="B17" authorId="0" shapeId="0">
      <text>
        <t>AB 1167: full-cost financial assurance for covered transfers of low-producing wells. Enter the amount required on the specific transfer.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0" customWidth="1" min="1" max="1"/>
    <col width="16" customWidth="1" min="2" max="2"/>
  </cols>
  <sheetData>
    <row r="1">
      <c r="A1" s="1" t="inlineStr">
        <is>
          <t>PV-10 with plugging &amp; abandonment adjustment — template</t>
        </is>
      </c>
    </row>
    <row r="2">
      <c r="A2" s="2" t="inlineStr">
        <is>
          <t>Illustrative inputs only (blue). Replace with asset-specific data before use. Not investment advice.</t>
        </is>
      </c>
    </row>
    <row r="4">
      <c r="A4" s="3" t="inlineStr">
        <is>
          <t>Initial oil rate (bbl/day, total package)</t>
        </is>
      </c>
      <c r="B4" s="4" t="n">
        <v>250</v>
      </c>
    </row>
    <row r="5">
      <c r="A5" s="3" t="inlineStr">
        <is>
          <t>Annual decline rate</t>
        </is>
      </c>
      <c r="B5" s="5" t="n">
        <v>0.12</v>
      </c>
    </row>
    <row r="6">
      <c r="A6" s="3" t="inlineStr">
        <is>
          <t>Oil price ($/bbl)</t>
        </is>
      </c>
      <c r="B6" s="6" t="n">
        <v>70</v>
      </c>
    </row>
    <row r="7">
      <c r="A7" s="3" t="inlineStr">
        <is>
          <t>Price differential ($/bbl)</t>
        </is>
      </c>
      <c r="B7" s="7" t="n">
        <v>-5</v>
      </c>
    </row>
    <row r="8">
      <c r="A8" s="3" t="inlineStr">
        <is>
          <t>Royalty burden</t>
        </is>
      </c>
      <c r="B8" s="5" t="n">
        <v>0.125</v>
      </c>
    </row>
    <row r="9">
      <c r="A9" s="3" t="inlineStr">
        <is>
          <t>Production &amp; ad valorem taxes (% rev)</t>
        </is>
      </c>
      <c r="B9" s="5" t="n">
        <v>0.05</v>
      </c>
    </row>
    <row r="10">
      <c r="A10" s="3" t="inlineStr">
        <is>
          <t>Lifting cost ($/bbl)</t>
        </is>
      </c>
      <c r="B10" s="6" t="n">
        <v>28</v>
      </c>
    </row>
    <row r="11">
      <c r="A11" s="3" t="inlineStr">
        <is>
          <t>Fixed opex per year ($)</t>
        </is>
      </c>
      <c r="B11" s="8" t="n">
        <v>400000</v>
      </c>
    </row>
    <row r="12">
      <c r="A12" s="3" t="inlineStr">
        <is>
          <t>Discount rate</t>
        </is>
      </c>
      <c r="B12" s="5" t="n">
        <v>0.1</v>
      </c>
    </row>
    <row r="13">
      <c r="A13" s="3" t="inlineStr">
        <is>
          <t>Number of wells in package</t>
        </is>
      </c>
      <c r="B13" s="4" t="n">
        <v>120</v>
      </c>
    </row>
    <row r="14">
      <c r="A14" s="3" t="inlineStr">
        <is>
          <t>Plugging &amp; restoration cost per well ($)</t>
        </is>
      </c>
      <c r="B14" s="8" t="n">
        <v>150000</v>
      </c>
    </row>
    <row r="15">
      <c r="A15" s="3" t="inlineStr">
        <is>
          <t>Plugging cost inflation per year</t>
        </is>
      </c>
      <c r="B15" s="5" t="n">
        <v>0.03</v>
      </c>
    </row>
    <row r="16">
      <c r="A16" s="3" t="inlineStr">
        <is>
          <t>Year plugging occurs (1–15)</t>
        </is>
      </c>
      <c r="B16" s="9" t="n">
        <v>10</v>
      </c>
    </row>
    <row r="17">
      <c r="A17" s="3" t="inlineStr">
        <is>
          <t>AB 1167 financial assurance posted at close ($)</t>
        </is>
      </c>
      <c r="B17" s="10" t="n">
        <v>0</v>
      </c>
    </row>
    <row r="18">
      <c r="A18" s="3" t="inlineStr">
        <is>
          <t>Cost of carrying assurance (% per year)</t>
        </is>
      </c>
      <c r="B18" s="5" t="n">
        <v>0.02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11" t="inlineStr">
        <is>
          <t>Year</t>
        </is>
      </c>
      <c r="B1" s="11" t="inlineStr">
        <is>
          <t>Oil (bbl)</t>
        </is>
      </c>
      <c r="C1" s="11" t="inlineStr">
        <is>
          <t>Net price ($/bbl)</t>
        </is>
      </c>
      <c r="D1" s="11" t="inlineStr">
        <is>
          <t>Revenue ($)</t>
        </is>
      </c>
      <c r="E1" s="11" t="inlineStr">
        <is>
          <t>Royalty ($)</t>
        </is>
      </c>
      <c r="F1" s="11" t="inlineStr">
        <is>
          <t>Taxes ($)</t>
        </is>
      </c>
      <c r="G1" s="11" t="inlineStr">
        <is>
          <t>Opex ($)</t>
        </is>
      </c>
      <c r="H1" s="11" t="inlineStr">
        <is>
          <t>Net CF ($)</t>
        </is>
      </c>
      <c r="I1" s="11" t="inlineStr">
        <is>
          <t>Discount factor</t>
        </is>
      </c>
      <c r="J1" s="11" t="inlineStr">
        <is>
          <t>PV of CF ($)</t>
        </is>
      </c>
      <c r="K1" s="11" t="inlineStr">
        <is>
          <t>P&amp;A cost ($)</t>
        </is>
      </c>
      <c r="L1" s="11" t="inlineStr">
        <is>
          <t>PV of P&amp;A ($)</t>
        </is>
      </c>
      <c r="M1" s="11" t="inlineStr">
        <is>
          <t>Assurance carry ($)</t>
        </is>
      </c>
      <c r="N1" s="11" t="inlineStr">
        <is>
          <t>PV of carry ($)</t>
        </is>
      </c>
    </row>
    <row r="2">
      <c r="A2" s="3" t="inlineStr">
        <is>
          <t>1</t>
        </is>
      </c>
      <c r="B2" s="12">
        <f>Inputs!$B$4*365*(1-Inputs!$B$5)^(1-1)</f>
        <v/>
      </c>
      <c r="C2" s="12">
        <f>Inputs!$B$6+Inputs!$B$7</f>
        <v/>
      </c>
      <c r="D2" s="12">
        <f>B2*C2</f>
        <v/>
      </c>
      <c r="E2" s="12">
        <f>-D2*Inputs!$B$8</f>
        <v/>
      </c>
      <c r="F2" s="12">
        <f>-D2*Inputs!$B$9</f>
        <v/>
      </c>
      <c r="G2" s="12">
        <f>-(B2*Inputs!$B$10+Inputs!$B$11)</f>
        <v/>
      </c>
      <c r="H2" s="12">
        <f>D2+E2+F2+G2</f>
        <v/>
      </c>
      <c r="I2" s="13">
        <f>1/(1+Inputs!$B$12)^(1-0.5)</f>
        <v/>
      </c>
      <c r="J2" s="12">
        <f>H2*I2</f>
        <v/>
      </c>
      <c r="K2" s="12">
        <f>IF(1=Inputs!$B$16,-Inputs!$B$13*Inputs!$B$14*(1+Inputs!$B$15)^1,0)</f>
        <v/>
      </c>
      <c r="L2" s="12">
        <f>K2*I2</f>
        <v/>
      </c>
      <c r="M2" s="12">
        <f>IF(1&lt;=Inputs!$B$16,-Inputs!$B$17*Inputs!$B$18,0)</f>
        <v/>
      </c>
      <c r="N2" s="12">
        <f>M2*I2</f>
        <v/>
      </c>
    </row>
    <row r="3">
      <c r="A3" s="3" t="inlineStr">
        <is>
          <t>2</t>
        </is>
      </c>
      <c r="B3" s="12">
        <f>Inputs!$B$4*365*(1-Inputs!$B$5)^(2-1)</f>
        <v/>
      </c>
      <c r="C3" s="12">
        <f>Inputs!$B$6+Inputs!$B$7</f>
        <v/>
      </c>
      <c r="D3" s="12">
        <f>B3*C3</f>
        <v/>
      </c>
      <c r="E3" s="12">
        <f>-D3*Inputs!$B$8</f>
        <v/>
      </c>
      <c r="F3" s="12">
        <f>-D3*Inputs!$B$9</f>
        <v/>
      </c>
      <c r="G3" s="12">
        <f>-(B3*Inputs!$B$10+Inputs!$B$11)</f>
        <v/>
      </c>
      <c r="H3" s="12">
        <f>D3+E3+F3+G3</f>
        <v/>
      </c>
      <c r="I3" s="13">
        <f>1/(1+Inputs!$B$12)^(2-0.5)</f>
        <v/>
      </c>
      <c r="J3" s="12">
        <f>H3*I3</f>
        <v/>
      </c>
      <c r="K3" s="12">
        <f>IF(2=Inputs!$B$16,-Inputs!$B$13*Inputs!$B$14*(1+Inputs!$B$15)^2,0)</f>
        <v/>
      </c>
      <c r="L3" s="12">
        <f>K3*I3</f>
        <v/>
      </c>
      <c r="M3" s="12">
        <f>IF(2&lt;=Inputs!$B$16,-Inputs!$B$17*Inputs!$B$18,0)</f>
        <v/>
      </c>
      <c r="N3" s="12">
        <f>M3*I3</f>
        <v/>
      </c>
    </row>
    <row r="4">
      <c r="A4" s="3" t="inlineStr">
        <is>
          <t>3</t>
        </is>
      </c>
      <c r="B4" s="12">
        <f>Inputs!$B$4*365*(1-Inputs!$B$5)^(3-1)</f>
        <v/>
      </c>
      <c r="C4" s="12">
        <f>Inputs!$B$6+Inputs!$B$7</f>
        <v/>
      </c>
      <c r="D4" s="12">
        <f>B4*C4</f>
        <v/>
      </c>
      <c r="E4" s="12">
        <f>-D4*Inputs!$B$8</f>
        <v/>
      </c>
      <c r="F4" s="12">
        <f>-D4*Inputs!$B$9</f>
        <v/>
      </c>
      <c r="G4" s="12">
        <f>-(B4*Inputs!$B$10+Inputs!$B$11)</f>
        <v/>
      </c>
      <c r="H4" s="12">
        <f>D4+E4+F4+G4</f>
        <v/>
      </c>
      <c r="I4" s="13">
        <f>1/(1+Inputs!$B$12)^(3-0.5)</f>
        <v/>
      </c>
      <c r="J4" s="12">
        <f>H4*I4</f>
        <v/>
      </c>
      <c r="K4" s="12">
        <f>IF(3=Inputs!$B$16,-Inputs!$B$13*Inputs!$B$14*(1+Inputs!$B$15)^3,0)</f>
        <v/>
      </c>
      <c r="L4" s="12">
        <f>K4*I4</f>
        <v/>
      </c>
      <c r="M4" s="12">
        <f>IF(3&lt;=Inputs!$B$16,-Inputs!$B$17*Inputs!$B$18,0)</f>
        <v/>
      </c>
      <c r="N4" s="12">
        <f>M4*I4</f>
        <v/>
      </c>
    </row>
    <row r="5">
      <c r="A5" s="3" t="inlineStr">
        <is>
          <t>4</t>
        </is>
      </c>
      <c r="B5" s="12">
        <f>Inputs!$B$4*365*(1-Inputs!$B$5)^(4-1)</f>
        <v/>
      </c>
      <c r="C5" s="12">
        <f>Inputs!$B$6+Inputs!$B$7</f>
        <v/>
      </c>
      <c r="D5" s="12">
        <f>B5*C5</f>
        <v/>
      </c>
      <c r="E5" s="12">
        <f>-D5*Inputs!$B$8</f>
        <v/>
      </c>
      <c r="F5" s="12">
        <f>-D5*Inputs!$B$9</f>
        <v/>
      </c>
      <c r="G5" s="12">
        <f>-(B5*Inputs!$B$10+Inputs!$B$11)</f>
        <v/>
      </c>
      <c r="H5" s="12">
        <f>D5+E5+F5+G5</f>
        <v/>
      </c>
      <c r="I5" s="13">
        <f>1/(1+Inputs!$B$12)^(4-0.5)</f>
        <v/>
      </c>
      <c r="J5" s="12">
        <f>H5*I5</f>
        <v/>
      </c>
      <c r="K5" s="12">
        <f>IF(4=Inputs!$B$16,-Inputs!$B$13*Inputs!$B$14*(1+Inputs!$B$15)^4,0)</f>
        <v/>
      </c>
      <c r="L5" s="12">
        <f>K5*I5</f>
        <v/>
      </c>
      <c r="M5" s="12">
        <f>IF(4&lt;=Inputs!$B$16,-Inputs!$B$17*Inputs!$B$18,0)</f>
        <v/>
      </c>
      <c r="N5" s="12">
        <f>M5*I5</f>
        <v/>
      </c>
    </row>
    <row r="6">
      <c r="A6" s="3" t="inlineStr">
        <is>
          <t>5</t>
        </is>
      </c>
      <c r="B6" s="12">
        <f>Inputs!$B$4*365*(1-Inputs!$B$5)^(5-1)</f>
        <v/>
      </c>
      <c r="C6" s="12">
        <f>Inputs!$B$6+Inputs!$B$7</f>
        <v/>
      </c>
      <c r="D6" s="12">
        <f>B6*C6</f>
        <v/>
      </c>
      <c r="E6" s="12">
        <f>-D6*Inputs!$B$8</f>
        <v/>
      </c>
      <c r="F6" s="12">
        <f>-D6*Inputs!$B$9</f>
        <v/>
      </c>
      <c r="G6" s="12">
        <f>-(B6*Inputs!$B$10+Inputs!$B$11)</f>
        <v/>
      </c>
      <c r="H6" s="12">
        <f>D6+E6+F6+G6</f>
        <v/>
      </c>
      <c r="I6" s="13">
        <f>1/(1+Inputs!$B$12)^(5-0.5)</f>
        <v/>
      </c>
      <c r="J6" s="12">
        <f>H6*I6</f>
        <v/>
      </c>
      <c r="K6" s="12">
        <f>IF(5=Inputs!$B$16,-Inputs!$B$13*Inputs!$B$14*(1+Inputs!$B$15)^5,0)</f>
        <v/>
      </c>
      <c r="L6" s="12">
        <f>K6*I6</f>
        <v/>
      </c>
      <c r="M6" s="12">
        <f>IF(5&lt;=Inputs!$B$16,-Inputs!$B$17*Inputs!$B$18,0)</f>
        <v/>
      </c>
      <c r="N6" s="12">
        <f>M6*I6</f>
        <v/>
      </c>
    </row>
    <row r="7">
      <c r="A7" s="3" t="inlineStr">
        <is>
          <t>6</t>
        </is>
      </c>
      <c r="B7" s="12">
        <f>Inputs!$B$4*365*(1-Inputs!$B$5)^(6-1)</f>
        <v/>
      </c>
      <c r="C7" s="12">
        <f>Inputs!$B$6+Inputs!$B$7</f>
        <v/>
      </c>
      <c r="D7" s="12">
        <f>B7*C7</f>
        <v/>
      </c>
      <c r="E7" s="12">
        <f>-D7*Inputs!$B$8</f>
        <v/>
      </c>
      <c r="F7" s="12">
        <f>-D7*Inputs!$B$9</f>
        <v/>
      </c>
      <c r="G7" s="12">
        <f>-(B7*Inputs!$B$10+Inputs!$B$11)</f>
        <v/>
      </c>
      <c r="H7" s="12">
        <f>D7+E7+F7+G7</f>
        <v/>
      </c>
      <c r="I7" s="13">
        <f>1/(1+Inputs!$B$12)^(6-0.5)</f>
        <v/>
      </c>
      <c r="J7" s="12">
        <f>H7*I7</f>
        <v/>
      </c>
      <c r="K7" s="12">
        <f>IF(6=Inputs!$B$16,-Inputs!$B$13*Inputs!$B$14*(1+Inputs!$B$15)^6,0)</f>
        <v/>
      </c>
      <c r="L7" s="12">
        <f>K7*I7</f>
        <v/>
      </c>
      <c r="M7" s="12">
        <f>IF(6&lt;=Inputs!$B$16,-Inputs!$B$17*Inputs!$B$18,0)</f>
        <v/>
      </c>
      <c r="N7" s="12">
        <f>M7*I7</f>
        <v/>
      </c>
    </row>
    <row r="8">
      <c r="A8" s="3" t="inlineStr">
        <is>
          <t>7</t>
        </is>
      </c>
      <c r="B8" s="12">
        <f>Inputs!$B$4*365*(1-Inputs!$B$5)^(7-1)</f>
        <v/>
      </c>
      <c r="C8" s="12">
        <f>Inputs!$B$6+Inputs!$B$7</f>
        <v/>
      </c>
      <c r="D8" s="12">
        <f>B8*C8</f>
        <v/>
      </c>
      <c r="E8" s="12">
        <f>-D8*Inputs!$B$8</f>
        <v/>
      </c>
      <c r="F8" s="12">
        <f>-D8*Inputs!$B$9</f>
        <v/>
      </c>
      <c r="G8" s="12">
        <f>-(B8*Inputs!$B$10+Inputs!$B$11)</f>
        <v/>
      </c>
      <c r="H8" s="12">
        <f>D8+E8+F8+G8</f>
        <v/>
      </c>
      <c r="I8" s="13">
        <f>1/(1+Inputs!$B$12)^(7-0.5)</f>
        <v/>
      </c>
      <c r="J8" s="12">
        <f>H8*I8</f>
        <v/>
      </c>
      <c r="K8" s="12">
        <f>IF(7=Inputs!$B$16,-Inputs!$B$13*Inputs!$B$14*(1+Inputs!$B$15)^7,0)</f>
        <v/>
      </c>
      <c r="L8" s="12">
        <f>K8*I8</f>
        <v/>
      </c>
      <c r="M8" s="12">
        <f>IF(7&lt;=Inputs!$B$16,-Inputs!$B$17*Inputs!$B$18,0)</f>
        <v/>
      </c>
      <c r="N8" s="12">
        <f>M8*I8</f>
        <v/>
      </c>
    </row>
    <row r="9">
      <c r="A9" s="3" t="inlineStr">
        <is>
          <t>8</t>
        </is>
      </c>
      <c r="B9" s="12">
        <f>Inputs!$B$4*365*(1-Inputs!$B$5)^(8-1)</f>
        <v/>
      </c>
      <c r="C9" s="12">
        <f>Inputs!$B$6+Inputs!$B$7</f>
        <v/>
      </c>
      <c r="D9" s="12">
        <f>B9*C9</f>
        <v/>
      </c>
      <c r="E9" s="12">
        <f>-D9*Inputs!$B$8</f>
        <v/>
      </c>
      <c r="F9" s="12">
        <f>-D9*Inputs!$B$9</f>
        <v/>
      </c>
      <c r="G9" s="12">
        <f>-(B9*Inputs!$B$10+Inputs!$B$11)</f>
        <v/>
      </c>
      <c r="H9" s="12">
        <f>D9+E9+F9+G9</f>
        <v/>
      </c>
      <c r="I9" s="13">
        <f>1/(1+Inputs!$B$12)^(8-0.5)</f>
        <v/>
      </c>
      <c r="J9" s="12">
        <f>H9*I9</f>
        <v/>
      </c>
      <c r="K9" s="12">
        <f>IF(8=Inputs!$B$16,-Inputs!$B$13*Inputs!$B$14*(1+Inputs!$B$15)^8,0)</f>
        <v/>
      </c>
      <c r="L9" s="12">
        <f>K9*I9</f>
        <v/>
      </c>
      <c r="M9" s="12">
        <f>IF(8&lt;=Inputs!$B$16,-Inputs!$B$17*Inputs!$B$18,0)</f>
        <v/>
      </c>
      <c r="N9" s="12">
        <f>M9*I9</f>
        <v/>
      </c>
    </row>
    <row r="10">
      <c r="A10" s="3" t="inlineStr">
        <is>
          <t>9</t>
        </is>
      </c>
      <c r="B10" s="12">
        <f>Inputs!$B$4*365*(1-Inputs!$B$5)^(9-1)</f>
        <v/>
      </c>
      <c r="C10" s="12">
        <f>Inputs!$B$6+Inputs!$B$7</f>
        <v/>
      </c>
      <c r="D10" s="12">
        <f>B10*C10</f>
        <v/>
      </c>
      <c r="E10" s="12">
        <f>-D10*Inputs!$B$8</f>
        <v/>
      </c>
      <c r="F10" s="12">
        <f>-D10*Inputs!$B$9</f>
        <v/>
      </c>
      <c r="G10" s="12">
        <f>-(B10*Inputs!$B$10+Inputs!$B$11)</f>
        <v/>
      </c>
      <c r="H10" s="12">
        <f>D10+E10+F10+G10</f>
        <v/>
      </c>
      <c r="I10" s="13">
        <f>1/(1+Inputs!$B$12)^(9-0.5)</f>
        <v/>
      </c>
      <c r="J10" s="12">
        <f>H10*I10</f>
        <v/>
      </c>
      <c r="K10" s="12">
        <f>IF(9=Inputs!$B$16,-Inputs!$B$13*Inputs!$B$14*(1+Inputs!$B$15)^9,0)</f>
        <v/>
      </c>
      <c r="L10" s="12">
        <f>K10*I10</f>
        <v/>
      </c>
      <c r="M10" s="12">
        <f>IF(9&lt;=Inputs!$B$16,-Inputs!$B$17*Inputs!$B$18,0)</f>
        <v/>
      </c>
      <c r="N10" s="12">
        <f>M10*I10</f>
        <v/>
      </c>
    </row>
    <row r="11">
      <c r="A11" s="3" t="inlineStr">
        <is>
          <t>10</t>
        </is>
      </c>
      <c r="B11" s="12">
        <f>Inputs!$B$4*365*(1-Inputs!$B$5)^(10-1)</f>
        <v/>
      </c>
      <c r="C11" s="12">
        <f>Inputs!$B$6+Inputs!$B$7</f>
        <v/>
      </c>
      <c r="D11" s="12">
        <f>B11*C11</f>
        <v/>
      </c>
      <c r="E11" s="12">
        <f>-D11*Inputs!$B$8</f>
        <v/>
      </c>
      <c r="F11" s="12">
        <f>-D11*Inputs!$B$9</f>
        <v/>
      </c>
      <c r="G11" s="12">
        <f>-(B11*Inputs!$B$10+Inputs!$B$11)</f>
        <v/>
      </c>
      <c r="H11" s="12">
        <f>D11+E11+F11+G11</f>
        <v/>
      </c>
      <c r="I11" s="13">
        <f>1/(1+Inputs!$B$12)^(10-0.5)</f>
        <v/>
      </c>
      <c r="J11" s="12">
        <f>H11*I11</f>
        <v/>
      </c>
      <c r="K11" s="12">
        <f>IF(10=Inputs!$B$16,-Inputs!$B$13*Inputs!$B$14*(1+Inputs!$B$15)^10,0)</f>
        <v/>
      </c>
      <c r="L11" s="12">
        <f>K11*I11</f>
        <v/>
      </c>
      <c r="M11" s="12">
        <f>IF(10&lt;=Inputs!$B$16,-Inputs!$B$17*Inputs!$B$18,0)</f>
        <v/>
      </c>
      <c r="N11" s="12">
        <f>M11*I11</f>
        <v/>
      </c>
    </row>
    <row r="12">
      <c r="A12" s="3" t="inlineStr">
        <is>
          <t>11</t>
        </is>
      </c>
      <c r="B12" s="12">
        <f>Inputs!$B$4*365*(1-Inputs!$B$5)^(11-1)</f>
        <v/>
      </c>
      <c r="C12" s="12">
        <f>Inputs!$B$6+Inputs!$B$7</f>
        <v/>
      </c>
      <c r="D12" s="12">
        <f>B12*C12</f>
        <v/>
      </c>
      <c r="E12" s="12">
        <f>-D12*Inputs!$B$8</f>
        <v/>
      </c>
      <c r="F12" s="12">
        <f>-D12*Inputs!$B$9</f>
        <v/>
      </c>
      <c r="G12" s="12">
        <f>-(B12*Inputs!$B$10+Inputs!$B$11)</f>
        <v/>
      </c>
      <c r="H12" s="12">
        <f>D12+E12+F12+G12</f>
        <v/>
      </c>
      <c r="I12" s="13">
        <f>1/(1+Inputs!$B$12)^(11-0.5)</f>
        <v/>
      </c>
      <c r="J12" s="12">
        <f>H12*I12</f>
        <v/>
      </c>
      <c r="K12" s="12">
        <f>IF(11=Inputs!$B$16,-Inputs!$B$13*Inputs!$B$14*(1+Inputs!$B$15)^11,0)</f>
        <v/>
      </c>
      <c r="L12" s="12">
        <f>K12*I12</f>
        <v/>
      </c>
      <c r="M12" s="12">
        <f>IF(11&lt;=Inputs!$B$16,-Inputs!$B$17*Inputs!$B$18,0)</f>
        <v/>
      </c>
      <c r="N12" s="12">
        <f>M12*I12</f>
        <v/>
      </c>
    </row>
    <row r="13">
      <c r="A13" s="3" t="inlineStr">
        <is>
          <t>12</t>
        </is>
      </c>
      <c r="B13" s="12">
        <f>Inputs!$B$4*365*(1-Inputs!$B$5)^(12-1)</f>
        <v/>
      </c>
      <c r="C13" s="12">
        <f>Inputs!$B$6+Inputs!$B$7</f>
        <v/>
      </c>
      <c r="D13" s="12">
        <f>B13*C13</f>
        <v/>
      </c>
      <c r="E13" s="12">
        <f>-D13*Inputs!$B$8</f>
        <v/>
      </c>
      <c r="F13" s="12">
        <f>-D13*Inputs!$B$9</f>
        <v/>
      </c>
      <c r="G13" s="12">
        <f>-(B13*Inputs!$B$10+Inputs!$B$11)</f>
        <v/>
      </c>
      <c r="H13" s="12">
        <f>D13+E13+F13+G13</f>
        <v/>
      </c>
      <c r="I13" s="13">
        <f>1/(1+Inputs!$B$12)^(12-0.5)</f>
        <v/>
      </c>
      <c r="J13" s="12">
        <f>H13*I13</f>
        <v/>
      </c>
      <c r="K13" s="12">
        <f>IF(12=Inputs!$B$16,-Inputs!$B$13*Inputs!$B$14*(1+Inputs!$B$15)^12,0)</f>
        <v/>
      </c>
      <c r="L13" s="12">
        <f>K13*I13</f>
        <v/>
      </c>
      <c r="M13" s="12">
        <f>IF(12&lt;=Inputs!$B$16,-Inputs!$B$17*Inputs!$B$18,0)</f>
        <v/>
      </c>
      <c r="N13" s="12">
        <f>M13*I13</f>
        <v/>
      </c>
    </row>
    <row r="14">
      <c r="A14" s="3" t="inlineStr">
        <is>
          <t>13</t>
        </is>
      </c>
      <c r="B14" s="12">
        <f>Inputs!$B$4*365*(1-Inputs!$B$5)^(13-1)</f>
        <v/>
      </c>
      <c r="C14" s="12">
        <f>Inputs!$B$6+Inputs!$B$7</f>
        <v/>
      </c>
      <c r="D14" s="12">
        <f>B14*C14</f>
        <v/>
      </c>
      <c r="E14" s="12">
        <f>-D14*Inputs!$B$8</f>
        <v/>
      </c>
      <c r="F14" s="12">
        <f>-D14*Inputs!$B$9</f>
        <v/>
      </c>
      <c r="G14" s="12">
        <f>-(B14*Inputs!$B$10+Inputs!$B$11)</f>
        <v/>
      </c>
      <c r="H14" s="12">
        <f>D14+E14+F14+G14</f>
        <v/>
      </c>
      <c r="I14" s="13">
        <f>1/(1+Inputs!$B$12)^(13-0.5)</f>
        <v/>
      </c>
      <c r="J14" s="12">
        <f>H14*I14</f>
        <v/>
      </c>
      <c r="K14" s="12">
        <f>IF(13=Inputs!$B$16,-Inputs!$B$13*Inputs!$B$14*(1+Inputs!$B$15)^13,0)</f>
        <v/>
      </c>
      <c r="L14" s="12">
        <f>K14*I14</f>
        <v/>
      </c>
      <c r="M14" s="12">
        <f>IF(13&lt;=Inputs!$B$16,-Inputs!$B$17*Inputs!$B$18,0)</f>
        <v/>
      </c>
      <c r="N14" s="12">
        <f>M14*I14</f>
        <v/>
      </c>
    </row>
    <row r="15">
      <c r="A15" s="3" t="inlineStr">
        <is>
          <t>14</t>
        </is>
      </c>
      <c r="B15" s="12">
        <f>Inputs!$B$4*365*(1-Inputs!$B$5)^(14-1)</f>
        <v/>
      </c>
      <c r="C15" s="12">
        <f>Inputs!$B$6+Inputs!$B$7</f>
        <v/>
      </c>
      <c r="D15" s="12">
        <f>B15*C15</f>
        <v/>
      </c>
      <c r="E15" s="12">
        <f>-D15*Inputs!$B$8</f>
        <v/>
      </c>
      <c r="F15" s="12">
        <f>-D15*Inputs!$B$9</f>
        <v/>
      </c>
      <c r="G15" s="12">
        <f>-(B15*Inputs!$B$10+Inputs!$B$11)</f>
        <v/>
      </c>
      <c r="H15" s="12">
        <f>D15+E15+F15+G15</f>
        <v/>
      </c>
      <c r="I15" s="13">
        <f>1/(1+Inputs!$B$12)^(14-0.5)</f>
        <v/>
      </c>
      <c r="J15" s="12">
        <f>H15*I15</f>
        <v/>
      </c>
      <c r="K15" s="12">
        <f>IF(14=Inputs!$B$16,-Inputs!$B$13*Inputs!$B$14*(1+Inputs!$B$15)^14,0)</f>
        <v/>
      </c>
      <c r="L15" s="12">
        <f>K15*I15</f>
        <v/>
      </c>
      <c r="M15" s="12">
        <f>IF(14&lt;=Inputs!$B$16,-Inputs!$B$17*Inputs!$B$18,0)</f>
        <v/>
      </c>
      <c r="N15" s="12">
        <f>M15*I15</f>
        <v/>
      </c>
    </row>
    <row r="16">
      <c r="A16" s="3" t="inlineStr">
        <is>
          <t>15</t>
        </is>
      </c>
      <c r="B16" s="12">
        <f>Inputs!$B$4*365*(1-Inputs!$B$5)^(15-1)</f>
        <v/>
      </c>
      <c r="C16" s="12">
        <f>Inputs!$B$6+Inputs!$B$7</f>
        <v/>
      </c>
      <c r="D16" s="12">
        <f>B16*C16</f>
        <v/>
      </c>
      <c r="E16" s="12">
        <f>-D16*Inputs!$B$8</f>
        <v/>
      </c>
      <c r="F16" s="12">
        <f>-D16*Inputs!$B$9</f>
        <v/>
      </c>
      <c r="G16" s="12">
        <f>-(B16*Inputs!$B$10+Inputs!$B$11)</f>
        <v/>
      </c>
      <c r="H16" s="12">
        <f>D16+E16+F16+G16</f>
        <v/>
      </c>
      <c r="I16" s="13">
        <f>1/(1+Inputs!$B$12)^(15-0.5)</f>
        <v/>
      </c>
      <c r="J16" s="12">
        <f>H16*I16</f>
        <v/>
      </c>
      <c r="K16" s="12">
        <f>IF(15=Inputs!$B$16,-Inputs!$B$13*Inputs!$B$14*(1+Inputs!$B$15)^15,0)</f>
        <v/>
      </c>
      <c r="L16" s="12">
        <f>K16*I16</f>
        <v/>
      </c>
      <c r="M16" s="12">
        <f>IF(15&lt;=Inputs!$B$16,-Inputs!$B$17*Inputs!$B$18,0)</f>
        <v/>
      </c>
      <c r="N16" s="12">
        <f>M16*I16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</cols>
  <sheetData>
    <row r="1">
      <c r="A1" s="1" t="inlineStr">
        <is>
          <t>Value before and after liquidation obligations</t>
        </is>
      </c>
    </row>
    <row r="3">
      <c r="A3" s="3" t="inlineStr">
        <is>
          <t>PV-10, unadjusted ($)</t>
        </is>
      </c>
      <c r="B3" s="14">
        <f>SUM('Cash Flow'!J2:J16)</f>
        <v/>
      </c>
    </row>
    <row r="4">
      <c r="A4" s="3" t="inlineStr">
        <is>
          <t>PV of plugging &amp; restoration ($)</t>
        </is>
      </c>
      <c r="B4" s="14">
        <f>SUM('Cash Flow'!L2:L16)</f>
        <v/>
      </c>
    </row>
    <row r="5">
      <c r="A5" s="3" t="inlineStr">
        <is>
          <t>PV of AB 1167 assurance carry ($)</t>
        </is>
      </c>
      <c r="B5" s="14">
        <f>SUM('Cash Flow'!N2:N16)</f>
        <v/>
      </c>
    </row>
    <row r="6">
      <c r="A6" s="11" t="inlineStr">
        <is>
          <t>Adjusted value ($)</t>
        </is>
      </c>
      <c r="B6" s="15">
        <f>B3+B4+B5</f>
        <v/>
      </c>
    </row>
    <row r="7">
      <c r="A7" s="3" t="inlineStr">
        <is>
          <t>Haircut vs. unadjusted</t>
        </is>
      </c>
      <c r="B7" s="16">
        <f>IF(B3=0,0,B6/B3-1)</f>
        <v/>
      </c>
    </row>
    <row r="8">
      <c r="A8" s="3" t="inlineStr">
        <is>
          <t>Undiscounted P&amp;A liability ($)</t>
        </is>
      </c>
      <c r="B8" s="14">
        <f>-SUM('Cash Flow'!K2:K16)</f>
        <v/>
      </c>
    </row>
    <row r="9">
      <c r="A9" s="3" t="inlineStr">
        <is>
          <t>P&amp;A liability per well, inflated ($)</t>
        </is>
      </c>
      <c r="B9" s="14">
        <f>IF(Inputs!B13=0,0,B8/Inputs!B13)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2026-10-09T20:54:10Z</dcterms:created>
  <dcterms:modified xmlns:dcterms="http://purl.org/dc/terms/" xmlns:xsi="http://www.w3.org/2001/XMLSchema-instance" xsi:type="dcterms:W3CDTF">2026-10-09T20:54:10Z</dcterms:modified>
</cp:coreProperties>
</file>